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0895" windowHeight="1162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K9" i="1"/>
  <c r="N9" s="1"/>
  <c r="K8"/>
  <c r="N8" s="1"/>
  <c r="O7"/>
  <c r="Q7" s="1"/>
  <c r="O6"/>
  <c r="Q6" s="1"/>
  <c r="K5"/>
  <c r="N5" s="1"/>
  <c r="K4"/>
  <c r="N4" s="1"/>
  <c r="G2"/>
  <c r="L5" s="1"/>
  <c r="L9" l="1"/>
  <c r="O9" s="1"/>
  <c r="Q9" s="1"/>
  <c r="O5"/>
  <c r="Q5" s="1"/>
  <c r="G3"/>
  <c r="L4"/>
  <c r="S4"/>
  <c r="S5"/>
  <c r="S8"/>
  <c r="S9"/>
  <c r="T8" l="1"/>
  <c r="U8"/>
  <c r="V8" s="1"/>
  <c r="T4"/>
  <c r="U4"/>
  <c r="V4" s="1"/>
  <c r="T9"/>
  <c r="U9"/>
  <c r="V9" s="1"/>
  <c r="T5"/>
  <c r="U5"/>
  <c r="V5" s="1"/>
  <c r="L8"/>
  <c r="O8" s="1"/>
  <c r="Q8" s="1"/>
  <c r="O4"/>
  <c r="Q4" s="1"/>
  <c r="AB5" l="1"/>
  <c r="Z5"/>
  <c r="X5"/>
  <c r="AC5"/>
  <c r="AA5"/>
  <c r="Y5"/>
  <c r="W5"/>
  <c r="AB9"/>
  <c r="Z9"/>
  <c r="X9"/>
  <c r="AC9"/>
  <c r="AA9"/>
  <c r="Y9"/>
  <c r="W9"/>
  <c r="AB4"/>
  <c r="Z4"/>
  <c r="X4"/>
  <c r="AC4"/>
  <c r="AA4"/>
  <c r="Y4"/>
  <c r="W4"/>
  <c r="AB8"/>
  <c r="Z8"/>
  <c r="X8"/>
  <c r="AC8"/>
  <c r="AA8"/>
  <c r="Y8"/>
  <c r="W8"/>
</calcChain>
</file>

<file path=xl/sharedStrings.xml><?xml version="1.0" encoding="utf-8"?>
<sst xmlns="http://schemas.openxmlformats.org/spreadsheetml/2006/main" count="66" uniqueCount="37">
  <si>
    <t>Line-Line</t>
  </si>
  <si>
    <r>
      <t>V</t>
    </r>
    <r>
      <rPr>
        <vertAlign val="subscript"/>
        <sz val="10"/>
        <color theme="1"/>
        <rFont val="Calibri"/>
        <family val="2"/>
        <scheme val="minor"/>
      </rPr>
      <t>L-L</t>
    </r>
  </si>
  <si>
    <t>V</t>
  </si>
  <si>
    <r>
      <t>I</t>
    </r>
    <r>
      <rPr>
        <b/>
        <vertAlign val="subscript"/>
        <sz val="10"/>
        <color theme="1"/>
        <rFont val="Calibri"/>
        <family val="2"/>
        <scheme val="minor"/>
      </rPr>
      <t>SC</t>
    </r>
  </si>
  <si>
    <r>
      <t>I</t>
    </r>
    <r>
      <rPr>
        <b/>
        <vertAlign val="subscript"/>
        <sz val="10"/>
        <color theme="1"/>
        <rFont val="Calibri"/>
        <family val="2"/>
        <scheme val="minor"/>
      </rPr>
      <t>Fault</t>
    </r>
  </si>
  <si>
    <r>
      <t>I</t>
    </r>
    <r>
      <rPr>
        <b/>
        <vertAlign val="subscript"/>
        <sz val="10"/>
        <color theme="1"/>
        <rFont val="Calibri"/>
        <family val="2"/>
        <scheme val="minor"/>
      </rPr>
      <t>BF</t>
    </r>
  </si>
  <si>
    <r>
      <t>E</t>
    </r>
    <r>
      <rPr>
        <b/>
        <vertAlign val="subscript"/>
        <sz val="10"/>
        <color theme="1"/>
        <rFont val="Calibri"/>
        <family val="2"/>
        <scheme val="minor"/>
      </rPr>
      <t>MB</t>
    </r>
  </si>
  <si>
    <r>
      <t>D</t>
    </r>
    <r>
      <rPr>
        <b/>
        <vertAlign val="subscript"/>
        <sz val="10"/>
        <color theme="1"/>
        <rFont val="Calibri"/>
        <family val="2"/>
        <scheme val="minor"/>
      </rPr>
      <t>C</t>
    </r>
  </si>
  <si>
    <t>LOG(Ia)</t>
  </si>
  <si>
    <t>Ia</t>
  </si>
  <si>
    <t>LOG(En)</t>
  </si>
  <si>
    <t>En</t>
  </si>
  <si>
    <t>E</t>
  </si>
  <si>
    <t>Line-Gnd</t>
  </si>
  <si>
    <r>
      <t>V</t>
    </r>
    <r>
      <rPr>
        <vertAlign val="subscript"/>
        <sz val="10"/>
        <color theme="1"/>
        <rFont val="Calibri"/>
        <family val="2"/>
        <scheme val="minor"/>
      </rPr>
      <t>L-g</t>
    </r>
  </si>
  <si>
    <t>P</t>
  </si>
  <si>
    <t>Impedance</t>
  </si>
  <si>
    <t>%Z</t>
  </si>
  <si>
    <t>%</t>
  </si>
  <si>
    <r>
      <t>t</t>
    </r>
    <r>
      <rPr>
        <vertAlign val="subscript"/>
        <sz val="10"/>
        <color theme="1"/>
        <rFont val="Calibri"/>
        <family val="2"/>
        <scheme val="minor"/>
      </rPr>
      <t>A</t>
    </r>
  </si>
  <si>
    <r>
      <t>Gap</t>
    </r>
    <r>
      <rPr>
        <vertAlign val="subscript"/>
        <sz val="10"/>
        <color theme="1"/>
        <rFont val="Calibri"/>
        <family val="2"/>
        <scheme val="minor"/>
      </rPr>
      <t>mm</t>
    </r>
  </si>
  <si>
    <t>L-L</t>
  </si>
  <si>
    <t>kA</t>
  </si>
  <si>
    <t>Ft</t>
  </si>
  <si>
    <t>In</t>
  </si>
  <si>
    <t>Transformer</t>
  </si>
  <si>
    <t>MVA</t>
  </si>
  <si>
    <t>L-G</t>
  </si>
  <si>
    <t>Inductance</t>
  </si>
  <si>
    <t>uH</t>
  </si>
  <si>
    <t>Alternate Method</t>
  </si>
  <si>
    <t>Interrupt</t>
  </si>
  <si>
    <r>
      <t>I</t>
    </r>
    <r>
      <rPr>
        <vertAlign val="subscript"/>
        <sz val="10"/>
        <color theme="1"/>
        <rFont val="Calibri"/>
        <family val="2"/>
        <scheme val="minor"/>
      </rPr>
      <t>Fault</t>
    </r>
  </si>
  <si>
    <t>A</t>
  </si>
  <si>
    <t>Main Interrupt</t>
  </si>
  <si>
    <t>AC Fuse Interrupt</t>
  </si>
  <si>
    <t>cal/cm^2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</si>
</sst>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"/>
  </numFmts>
  <fonts count="9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vertAlign val="subscript"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2" fontId="2" fillId="0" borderId="0" xfId="0" applyNumberFormat="1" applyFont="1"/>
    <xf numFmtId="164" fontId="0" fillId="0" borderId="0" xfId="0" applyNumberFormat="1"/>
    <xf numFmtId="0" fontId="1" fillId="0" borderId="1" xfId="0" applyFont="1" applyBorder="1"/>
    <xf numFmtId="0" fontId="2" fillId="0" borderId="2" xfId="0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center"/>
    </xf>
    <xf numFmtId="0" fontId="2" fillId="0" borderId="3" xfId="0" applyFont="1" applyBorder="1"/>
    <xf numFmtId="0" fontId="4" fillId="0" borderId="1" xfId="0" applyFont="1" applyBorder="1" applyAlignment="1">
      <alignment horizontal="right"/>
    </xf>
    <xf numFmtId="1" fontId="4" fillId="0" borderId="3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right"/>
    </xf>
    <xf numFmtId="165" fontId="4" fillId="0" borderId="13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1" fontId="4" fillId="0" borderId="15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64" fontId="2" fillId="0" borderId="18" xfId="0" applyNumberFormat="1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1" fontId="4" fillId="0" borderId="20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2" fillId="0" borderId="2" xfId="0" applyFont="1" applyFill="1" applyBorder="1" applyAlignment="1">
      <alignment horizontal="right"/>
    </xf>
    <xf numFmtId="0" fontId="2" fillId="0" borderId="1" xfId="0" applyFont="1" applyBorder="1" applyAlignment="1">
      <alignment horizontal="right"/>
    </xf>
    <xf numFmtId="165" fontId="2" fillId="0" borderId="3" xfId="0" applyNumberFormat="1" applyFont="1" applyBorder="1"/>
    <xf numFmtId="2" fontId="2" fillId="0" borderId="3" xfId="0" applyNumberFormat="1" applyFont="1" applyBorder="1"/>
    <xf numFmtId="9" fontId="4" fillId="0" borderId="20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165" fontId="4" fillId="0" borderId="23" xfId="0" applyNumberFormat="1" applyFont="1" applyBorder="1"/>
    <xf numFmtId="0" fontId="2" fillId="0" borderId="23" xfId="0" applyFont="1" applyBorder="1"/>
    <xf numFmtId="165" fontId="4" fillId="0" borderId="23" xfId="0" applyNumberFormat="1" applyFont="1" applyFill="1" applyBorder="1" applyAlignment="1">
      <alignment vertical="center" wrapText="1"/>
    </xf>
    <xf numFmtId="2" fontId="4" fillId="0" borderId="23" xfId="0" applyNumberFormat="1" applyFont="1" applyBorder="1"/>
    <xf numFmtId="2" fontId="2" fillId="0" borderId="23" xfId="0" applyNumberFormat="1" applyFont="1" applyBorder="1"/>
    <xf numFmtId="165" fontId="2" fillId="0" borderId="23" xfId="0" applyNumberFormat="1" applyFont="1" applyBorder="1"/>
    <xf numFmtId="164" fontId="2" fillId="0" borderId="23" xfId="0" applyNumberFormat="1" applyFont="1" applyBorder="1"/>
    <xf numFmtId="164" fontId="2" fillId="0" borderId="24" xfId="0" applyNumberFormat="1" applyFont="1" applyBorder="1"/>
    <xf numFmtId="2" fontId="6" fillId="0" borderId="13" xfId="0" applyNumberFormat="1" applyFont="1" applyFill="1" applyBorder="1" applyAlignment="1">
      <alignment horizontal="center"/>
    </xf>
    <xf numFmtId="2" fontId="7" fillId="0" borderId="25" xfId="0" applyNumberFormat="1" applyFont="1" applyFill="1" applyBorder="1" applyAlignment="1">
      <alignment horizontal="center"/>
    </xf>
    <xf numFmtId="2" fontId="7" fillId="0" borderId="26" xfId="0" applyNumberFormat="1" applyFont="1" applyFill="1" applyBorder="1" applyAlignment="1">
      <alignment horizontal="center"/>
    </xf>
    <xf numFmtId="0" fontId="8" fillId="0" borderId="2" xfId="0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/>
    </xf>
    <xf numFmtId="165" fontId="4" fillId="0" borderId="2" xfId="0" applyNumberFormat="1" applyFont="1" applyBorder="1"/>
    <xf numFmtId="0" fontId="2" fillId="0" borderId="2" xfId="0" applyFont="1" applyBorder="1"/>
    <xf numFmtId="165" fontId="4" fillId="0" borderId="2" xfId="0" applyNumberFormat="1" applyFont="1" applyFill="1" applyBorder="1" applyAlignment="1">
      <alignment vertical="center" wrapText="1"/>
    </xf>
    <xf numFmtId="2" fontId="4" fillId="0" borderId="2" xfId="0" applyNumberFormat="1" applyFont="1" applyBorder="1"/>
    <xf numFmtId="2" fontId="2" fillId="0" borderId="2" xfId="0" applyNumberFormat="1" applyFont="1" applyBorder="1"/>
    <xf numFmtId="165" fontId="2" fillId="0" borderId="2" xfId="0" applyNumberFormat="1" applyFont="1" applyBorder="1"/>
    <xf numFmtId="164" fontId="2" fillId="0" borderId="2" xfId="0" applyNumberFormat="1" applyFont="1" applyBorder="1"/>
    <xf numFmtId="164" fontId="2" fillId="0" borderId="29" xfId="0" applyNumberFormat="1" applyFont="1" applyBorder="1"/>
    <xf numFmtId="2" fontId="6" fillId="0" borderId="3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4" fillId="0" borderId="30" xfId="0" applyFont="1" applyBorder="1" applyAlignment="1">
      <alignment horizontal="center"/>
    </xf>
    <xf numFmtId="9" fontId="4" fillId="0" borderId="0" xfId="0" applyNumberFormat="1" applyFont="1" applyBorder="1" applyAlignment="1">
      <alignment horizontal="center" vertical="center"/>
    </xf>
    <xf numFmtId="2" fontId="4" fillId="0" borderId="1" xfId="0" applyNumberFormat="1" applyFont="1" applyBorder="1"/>
    <xf numFmtId="165" fontId="2" fillId="0" borderId="1" xfId="0" applyNumberFormat="1" applyFont="1" applyBorder="1"/>
    <xf numFmtId="164" fontId="2" fillId="0" borderId="0" xfId="0" applyNumberFormat="1" applyFont="1" applyBorder="1"/>
    <xf numFmtId="164" fontId="2" fillId="0" borderId="31" xfId="0" applyNumberFormat="1" applyFont="1" applyBorder="1"/>
    <xf numFmtId="2" fontId="6" fillId="0" borderId="19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right"/>
    </xf>
    <xf numFmtId="2" fontId="4" fillId="0" borderId="23" xfId="0" applyNumberFormat="1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2" fontId="4" fillId="0" borderId="33" xfId="0" applyNumberFormat="1" applyFont="1" applyBorder="1" applyAlignment="1">
      <alignment horizontal="center"/>
    </xf>
    <xf numFmtId="165" fontId="4" fillId="0" borderId="33" xfId="0" applyNumberFormat="1" applyFont="1" applyBorder="1"/>
    <xf numFmtId="0" fontId="2" fillId="0" borderId="33" xfId="0" applyFont="1" applyBorder="1"/>
    <xf numFmtId="165" fontId="4" fillId="0" borderId="33" xfId="0" applyNumberFormat="1" applyFont="1" applyFill="1" applyBorder="1" applyAlignment="1">
      <alignment vertical="center" wrapText="1"/>
    </xf>
    <xf numFmtId="2" fontId="2" fillId="0" borderId="33" xfId="0" applyNumberFormat="1" applyFont="1" applyBorder="1"/>
    <xf numFmtId="165" fontId="2" fillId="0" borderId="33" xfId="0" applyNumberFormat="1" applyFont="1" applyBorder="1"/>
    <xf numFmtId="164" fontId="2" fillId="0" borderId="33" xfId="0" applyNumberFormat="1" applyFont="1" applyBorder="1"/>
    <xf numFmtId="164" fontId="2" fillId="0" borderId="34" xfId="0" applyNumberFormat="1" applyFont="1" applyBorder="1"/>
    <xf numFmtId="2" fontId="6" fillId="0" borderId="35" xfId="0" applyNumberFormat="1" applyFont="1" applyFill="1" applyBorder="1" applyAlignment="1">
      <alignment horizontal="center"/>
    </xf>
    <xf numFmtId="2" fontId="7" fillId="0" borderId="36" xfId="0" applyNumberFormat="1" applyFont="1" applyFill="1" applyBorder="1" applyAlignment="1">
      <alignment horizontal="center"/>
    </xf>
    <xf numFmtId="2" fontId="7" fillId="0" borderId="3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Sheet1!$B$1</c:f>
              <c:strCache>
                <c:ptCount val="1"/>
                <c:pt idx="0">
                  <c:v>cal/cm^2</c:v>
                </c:pt>
              </c:strCache>
            </c:strRef>
          </c:tx>
          <c:marker>
            <c:symbol val="none"/>
          </c:marker>
          <c:cat>
            <c:numRef>
              <c:f>Sheet1!$W$3:$AC$3</c:f>
              <c:numCache>
                <c:formatCode>0</c:formatCode>
                <c:ptCount val="7"/>
                <c:pt idx="0" formatCode="General">
                  <c:v>6</c:v>
                </c:pt>
                <c:pt idx="1">
                  <c:v>9</c:v>
                </c:pt>
                <c:pt idx="2">
                  <c:v>12</c:v>
                </c:pt>
                <c:pt idx="3" formatCode="General">
                  <c:v>15</c:v>
                </c:pt>
                <c:pt idx="4" formatCode="General">
                  <c:v>18</c:v>
                </c:pt>
                <c:pt idx="5" formatCode="General">
                  <c:v>21</c:v>
                </c:pt>
                <c:pt idx="6" formatCode="General">
                  <c:v>24</c:v>
                </c:pt>
              </c:numCache>
            </c:numRef>
          </c:cat>
          <c:val>
            <c:numRef>
              <c:f>Sheet1!$W$4:$AC$4</c:f>
              <c:numCache>
                <c:formatCode>0.00</c:formatCode>
                <c:ptCount val="7"/>
                <c:pt idx="0">
                  <c:v>136.64143717064496</c:v>
                </c:pt>
                <c:pt idx="1">
                  <c:v>70.245201899233592</c:v>
                </c:pt>
                <c:pt idx="2">
                  <c:v>43.811911156347506</c:v>
                </c:pt>
                <c:pt idx="3">
                  <c:v>30.378258053052463</c:v>
                </c:pt>
                <c:pt idx="4">
                  <c:v>22.523010651047802</c:v>
                </c:pt>
                <c:pt idx="5">
                  <c:v>17.489071788155762</c:v>
                </c:pt>
                <c:pt idx="6">
                  <c:v>14.047594923745859</c:v>
                </c:pt>
              </c:numCache>
            </c:numRef>
          </c:val>
        </c:ser>
        <c:marker val="1"/>
        <c:axId val="102266752"/>
        <c:axId val="102793984"/>
      </c:lineChart>
      <c:catAx>
        <c:axId val="102266752"/>
        <c:scaling>
          <c:orientation val="minMax"/>
        </c:scaling>
        <c:axPos val="b"/>
        <c:numFmt formatCode="General" sourceLinked="1"/>
        <c:tickLblPos val="nextTo"/>
        <c:crossAx val="102793984"/>
        <c:crosses val="autoZero"/>
        <c:auto val="1"/>
        <c:lblAlgn val="ctr"/>
        <c:lblOffset val="100"/>
      </c:catAx>
      <c:valAx>
        <c:axId val="102793984"/>
        <c:scaling>
          <c:orientation val="minMax"/>
        </c:scaling>
        <c:axPos val="l"/>
        <c:majorGridlines/>
        <c:numFmt formatCode="0.00" sourceLinked="1"/>
        <c:tickLblPos val="nextTo"/>
        <c:crossAx val="1022667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9524</xdr:rowOff>
    </xdr:from>
    <xdr:to>
      <xdr:col>28</xdr:col>
      <xdr:colOff>295275</xdr:colOff>
      <xdr:row>35</xdr:row>
      <xdr:rowOff>152399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"/>
  <sheetViews>
    <sheetView tabSelected="1" workbookViewId="0">
      <selection activeCell="B1" sqref="B1"/>
    </sheetView>
  </sheetViews>
  <sheetFormatPr defaultRowHeight="15"/>
  <cols>
    <col min="1" max="1" width="9" bestFit="1" customWidth="1"/>
    <col min="2" max="2" width="14.42578125" bestFit="1" customWidth="1"/>
    <col min="3" max="3" width="7" bestFit="1" customWidth="1"/>
    <col min="4" max="4" width="3.140625" bestFit="1" customWidth="1"/>
    <col min="5" max="5" width="2.28515625" bestFit="1" customWidth="1"/>
    <col min="6" max="6" width="5.42578125" bestFit="1" customWidth="1"/>
    <col min="7" max="7" width="6.42578125" bestFit="1" customWidth="1"/>
    <col min="8" max="8" width="5.42578125" bestFit="1" customWidth="1"/>
    <col min="9" max="9" width="5.28515625" bestFit="1" customWidth="1"/>
    <col min="10" max="10" width="3.5703125" bestFit="1" customWidth="1"/>
    <col min="11" max="11" width="6" bestFit="1" customWidth="1"/>
    <col min="12" max="12" width="6.42578125" bestFit="1" customWidth="1"/>
    <col min="13" max="13" width="2.85546875" bestFit="1" customWidth="1"/>
    <col min="14" max="14" width="5.42578125" bestFit="1" customWidth="1"/>
    <col min="15" max="15" width="4.42578125" bestFit="1" customWidth="1"/>
    <col min="16" max="16" width="2.42578125" bestFit="1" customWidth="1"/>
    <col min="17" max="17" width="6.42578125" bestFit="1" customWidth="1"/>
    <col min="18" max="18" width="2.5703125" bestFit="1" customWidth="1"/>
    <col min="19" max="19" width="6.85546875" bestFit="1" customWidth="1"/>
    <col min="20" max="20" width="7.42578125" bestFit="1" customWidth="1"/>
    <col min="21" max="21" width="7.140625" bestFit="1" customWidth="1"/>
    <col min="22" max="22" width="5.42578125" bestFit="1" customWidth="1"/>
    <col min="23" max="23" width="6.42578125" bestFit="1" customWidth="1"/>
    <col min="24" max="29" width="5.42578125" bestFit="1" customWidth="1"/>
  </cols>
  <sheetData>
    <row r="1" spans="1:29" ht="15.75" thickBot="1">
      <c r="A1" s="1"/>
      <c r="B1" s="2" t="s">
        <v>36</v>
      </c>
      <c r="C1" s="3"/>
      <c r="D1" s="2"/>
      <c r="E1" s="4"/>
      <c r="F1" s="2"/>
      <c r="G1" s="2"/>
      <c r="H1" s="5"/>
      <c r="I1" s="2"/>
      <c r="U1" s="6"/>
    </row>
    <row r="2" spans="1:29">
      <c r="A2" s="7" t="s">
        <v>0</v>
      </c>
      <c r="B2" s="8" t="s">
        <v>1</v>
      </c>
      <c r="C2" s="9">
        <v>480</v>
      </c>
      <c r="D2" s="10" t="s">
        <v>2</v>
      </c>
      <c r="E2" s="4"/>
      <c r="F2" s="11" t="s">
        <v>3</v>
      </c>
      <c r="G2" s="12">
        <f>(C5*10^6)/(1.732*C2)*(100/C4)</f>
        <v>31378.652475148105</v>
      </c>
      <c r="H2" s="5"/>
      <c r="I2" s="2"/>
      <c r="J2" s="13"/>
      <c r="K2" s="14" t="s">
        <v>4</v>
      </c>
      <c r="L2" s="15" t="s">
        <v>5</v>
      </c>
      <c r="M2" s="16"/>
      <c r="N2" s="17" t="s">
        <v>6</v>
      </c>
      <c r="O2" s="14" t="s">
        <v>7</v>
      </c>
      <c r="P2" s="14"/>
      <c r="Q2" s="14"/>
      <c r="R2" s="14"/>
      <c r="S2" s="18" t="s">
        <v>8</v>
      </c>
      <c r="T2" s="18" t="s">
        <v>9</v>
      </c>
      <c r="U2" s="19" t="s">
        <v>10</v>
      </c>
      <c r="V2" s="20" t="s">
        <v>11</v>
      </c>
      <c r="W2" s="21" t="s">
        <v>12</v>
      </c>
      <c r="X2" s="22"/>
      <c r="Y2" s="22"/>
      <c r="Z2" s="22"/>
      <c r="AA2" s="22"/>
      <c r="AB2" s="22"/>
      <c r="AC2" s="23"/>
    </row>
    <row r="3" spans="1:29">
      <c r="A3" s="7" t="s">
        <v>13</v>
      </c>
      <c r="B3" s="8" t="s">
        <v>14</v>
      </c>
      <c r="C3" s="9">
        <v>240</v>
      </c>
      <c r="D3" s="10" t="s">
        <v>2</v>
      </c>
      <c r="E3" s="4"/>
      <c r="F3" s="24" t="s">
        <v>15</v>
      </c>
      <c r="G3" s="25">
        <f>1.732*C2*G2*10^-6*0.707^2</f>
        <v>13.039539130434781</v>
      </c>
      <c r="H3" s="26"/>
      <c r="I3" s="26"/>
      <c r="J3" s="27"/>
      <c r="K3" s="28"/>
      <c r="L3" s="29"/>
      <c r="M3" s="30"/>
      <c r="N3" s="31">
        <v>18</v>
      </c>
      <c r="O3" s="28"/>
      <c r="P3" s="28"/>
      <c r="Q3" s="28"/>
      <c r="R3" s="28"/>
      <c r="S3" s="32"/>
      <c r="T3" s="32"/>
      <c r="U3" s="33"/>
      <c r="V3" s="34"/>
      <c r="W3" s="35">
        <v>6</v>
      </c>
      <c r="X3" s="36">
        <v>9</v>
      </c>
      <c r="Y3" s="36">
        <v>12</v>
      </c>
      <c r="Z3" s="35">
        <v>15</v>
      </c>
      <c r="AA3" s="35">
        <v>18</v>
      </c>
      <c r="AB3" s="35">
        <v>21</v>
      </c>
      <c r="AC3" s="37">
        <v>24</v>
      </c>
    </row>
    <row r="4" spans="1:29">
      <c r="A4" s="7" t="s">
        <v>16</v>
      </c>
      <c r="B4" s="38" t="s">
        <v>17</v>
      </c>
      <c r="C4" s="9">
        <v>5.75</v>
      </c>
      <c r="D4" s="10" t="s">
        <v>18</v>
      </c>
      <c r="E4" s="39" t="s">
        <v>19</v>
      </c>
      <c r="F4" s="40">
        <v>0.02</v>
      </c>
      <c r="G4" s="39" t="s">
        <v>20</v>
      </c>
      <c r="H4" s="41">
        <v>25</v>
      </c>
      <c r="I4" s="42">
        <v>1</v>
      </c>
      <c r="J4" s="43" t="s">
        <v>21</v>
      </c>
      <c r="K4" s="44">
        <f>C7/1000</f>
        <v>51.91</v>
      </c>
      <c r="L4" s="45">
        <f>1.732*C2*G2*10^-6</f>
        <v>26.086956521739129</v>
      </c>
      <c r="M4" s="46" t="s">
        <v>22</v>
      </c>
      <c r="N4" s="47">
        <f>1038.7*N3^-1.4378*$F$8*(0.0093*($K$4)^2-0.3453*($K$4)+5.9675)</f>
        <v>4.2664516947369773</v>
      </c>
      <c r="O4" s="48">
        <f>(2.65*L4*$F$8)^0.5</f>
        <v>1.1758438228149917</v>
      </c>
      <c r="P4" s="49" t="s">
        <v>23</v>
      </c>
      <c r="Q4" s="50">
        <f t="shared" ref="Q4:Q9" si="0">O4*12</f>
        <v>14.1101258737799</v>
      </c>
      <c r="R4" s="46" t="s">
        <v>24</v>
      </c>
      <c r="S4" s="51">
        <f>-0.097+0.662*(LOG(K4)+0.966*($C2/1000)-0.000526*F4+0.5588*($C2/1000)*LOG(K4)+0.00304*H4*LOG(K4))</f>
        <v>1.7363104143268913</v>
      </c>
      <c r="T4" s="51">
        <f>10^S4</f>
        <v>54.48919781744258</v>
      </c>
      <c r="U4" s="52">
        <f>-0.555+0+1.081*S4+0.0011*H4</f>
        <v>1.3494515578873696</v>
      </c>
      <c r="V4" s="53">
        <f>10^U4</f>
        <v>22.358957883316638</v>
      </c>
      <c r="W4" s="54">
        <f t="shared" ref="W4:AC5" si="1">4.184*1.5*$V4*($F4/0.2)*((610^1.641)/((W$3*25.4)^1.641))</f>
        <v>136.64143717064496</v>
      </c>
      <c r="X4" s="54">
        <f t="shared" si="1"/>
        <v>70.245201899233592</v>
      </c>
      <c r="Y4" s="54">
        <f t="shared" si="1"/>
        <v>43.811911156347506</v>
      </c>
      <c r="Z4" s="54">
        <f t="shared" si="1"/>
        <v>30.378258053052463</v>
      </c>
      <c r="AA4" s="54">
        <f t="shared" si="1"/>
        <v>22.523010651047802</v>
      </c>
      <c r="AB4" s="54">
        <f t="shared" si="1"/>
        <v>17.489071788155762</v>
      </c>
      <c r="AC4" s="55">
        <f t="shared" si="1"/>
        <v>14.047594923745859</v>
      </c>
    </row>
    <row r="5" spans="1:29">
      <c r="A5" s="7" t="s">
        <v>25</v>
      </c>
      <c r="B5" s="56" t="s">
        <v>26</v>
      </c>
      <c r="C5" s="57">
        <v>1.5</v>
      </c>
      <c r="D5" s="10"/>
      <c r="E5" s="39" t="s">
        <v>19</v>
      </c>
      <c r="F5" s="40">
        <v>0.02</v>
      </c>
      <c r="G5" s="39" t="s">
        <v>20</v>
      </c>
      <c r="H5" s="41">
        <v>25</v>
      </c>
      <c r="I5" s="58"/>
      <c r="J5" s="59" t="s">
        <v>27</v>
      </c>
      <c r="K5" s="57">
        <f>C7/1000</f>
        <v>51.91</v>
      </c>
      <c r="L5" s="60">
        <f>1.732*C3*G2*10^-6</f>
        <v>13.043478260869565</v>
      </c>
      <c r="M5" s="61" t="s">
        <v>22</v>
      </c>
      <c r="N5" s="62">
        <f>(793*(K5)*(C3/1000)*$F$8)/((N$3)^2)</f>
        <v>0.60984637037037026</v>
      </c>
      <c r="O5" s="63">
        <f>(2.65*L5*$F$8)^0.5</f>
        <v>0.83144714072879389</v>
      </c>
      <c r="P5" s="64" t="s">
        <v>23</v>
      </c>
      <c r="Q5" s="65">
        <f t="shared" si="0"/>
        <v>9.9773656887455271</v>
      </c>
      <c r="R5" s="61" t="s">
        <v>24</v>
      </c>
      <c r="S5" s="66">
        <f>-0.097+0.662*(LOG(K5)+0.966*($C3/1000)-0.000526*F5+0.5588*($C3/1000)*LOG(K5)+0.00304*H5*LOG(K5))</f>
        <v>1.4305486704848211</v>
      </c>
      <c r="T5" s="66">
        <f>10^S5</f>
        <v>26.949373314837622</v>
      </c>
      <c r="U5" s="67">
        <f>-0.555+0+1.081*S5+0.0011*H5</f>
        <v>1.0189231127940914</v>
      </c>
      <c r="V5" s="68">
        <f>10^U5</f>
        <v>10.445352790201268</v>
      </c>
      <c r="W5" s="54">
        <f t="shared" si="1"/>
        <v>63.834281743179012</v>
      </c>
      <c r="X5" s="54">
        <f t="shared" si="1"/>
        <v>32.816194720948758</v>
      </c>
      <c r="Y5" s="54">
        <f t="shared" si="1"/>
        <v>20.467450711666235</v>
      </c>
      <c r="Z5" s="54">
        <f t="shared" si="1"/>
        <v>14.191699996566967</v>
      </c>
      <c r="AA5" s="54">
        <f t="shared" si="1"/>
        <v>10.521992723247502</v>
      </c>
      <c r="AB5" s="54">
        <f t="shared" si="1"/>
        <v>8.1703058681796268</v>
      </c>
      <c r="AC5" s="55">
        <f t="shared" si="1"/>
        <v>6.5625636757360502</v>
      </c>
    </row>
    <row r="6" spans="1:29">
      <c r="A6" s="7" t="s">
        <v>25</v>
      </c>
      <c r="B6" s="56" t="s">
        <v>28</v>
      </c>
      <c r="C6" s="57">
        <v>13.3</v>
      </c>
      <c r="D6" s="10" t="s">
        <v>29</v>
      </c>
      <c r="E6" s="4"/>
      <c r="F6" s="69"/>
      <c r="G6" s="5"/>
      <c r="H6" s="5"/>
      <c r="I6" s="2"/>
      <c r="J6" s="70" t="s">
        <v>21</v>
      </c>
      <c r="K6" s="71" t="s">
        <v>30</v>
      </c>
      <c r="L6" s="71"/>
      <c r="M6" s="71"/>
      <c r="N6" s="71"/>
      <c r="O6" s="72">
        <f>(53*C5*0.02)^0.5</f>
        <v>1.2609520212918492</v>
      </c>
      <c r="P6" s="41" t="s">
        <v>23</v>
      </c>
      <c r="Q6" s="73">
        <f t="shared" si="0"/>
        <v>15.131424255502191</v>
      </c>
      <c r="R6" s="10" t="s">
        <v>24</v>
      </c>
      <c r="S6" s="74"/>
      <c r="T6" s="74"/>
      <c r="U6" s="75"/>
      <c r="V6" s="76"/>
      <c r="W6" s="54"/>
      <c r="X6" s="54"/>
      <c r="Y6" s="54"/>
      <c r="Z6" s="54"/>
      <c r="AA6" s="54"/>
      <c r="AB6" s="54"/>
      <c r="AC6" s="55"/>
    </row>
    <row r="7" spans="1:29">
      <c r="A7" s="7" t="s">
        <v>31</v>
      </c>
      <c r="B7" s="77" t="s">
        <v>32</v>
      </c>
      <c r="C7" s="57">
        <v>51910</v>
      </c>
      <c r="D7" s="10" t="s">
        <v>33</v>
      </c>
      <c r="E7" s="4"/>
      <c r="F7" s="69"/>
      <c r="G7" s="5"/>
      <c r="H7" s="5"/>
      <c r="I7" s="2"/>
      <c r="J7" s="70" t="s">
        <v>27</v>
      </c>
      <c r="K7" s="71"/>
      <c r="L7" s="71"/>
      <c r="M7" s="71"/>
      <c r="N7" s="71"/>
      <c r="O7" s="72">
        <f>(53*C5*0.02)^0.5</f>
        <v>1.2609520212918492</v>
      </c>
      <c r="P7" s="41" t="s">
        <v>23</v>
      </c>
      <c r="Q7" s="73">
        <f t="shared" si="0"/>
        <v>15.131424255502191</v>
      </c>
      <c r="R7" s="10" t="s">
        <v>24</v>
      </c>
      <c r="S7" s="74"/>
      <c r="T7" s="74"/>
      <c r="U7" s="75"/>
      <c r="V7" s="76"/>
      <c r="W7" s="54"/>
      <c r="X7" s="54"/>
      <c r="Y7" s="54"/>
      <c r="Z7" s="54"/>
      <c r="AA7" s="54"/>
      <c r="AB7" s="54"/>
      <c r="AC7" s="55"/>
    </row>
    <row r="8" spans="1:29">
      <c r="A8" s="7" t="s">
        <v>31</v>
      </c>
      <c r="B8" s="56" t="s">
        <v>34</v>
      </c>
      <c r="C8" s="57">
        <v>85000</v>
      </c>
      <c r="D8" s="10" t="s">
        <v>33</v>
      </c>
      <c r="E8" s="39" t="s">
        <v>19</v>
      </c>
      <c r="F8" s="40">
        <v>0.02</v>
      </c>
      <c r="G8" s="39" t="s">
        <v>20</v>
      </c>
      <c r="H8" s="41">
        <v>64.5</v>
      </c>
      <c r="I8" s="42">
        <v>0.85</v>
      </c>
      <c r="J8" s="43" t="s">
        <v>21</v>
      </c>
      <c r="K8" s="78">
        <f>C7*0.85/1000</f>
        <v>44.1235</v>
      </c>
      <c r="L8" s="45">
        <f>L4*0.85</f>
        <v>22.173913043478258</v>
      </c>
      <c r="M8" s="46" t="s">
        <v>22</v>
      </c>
      <c r="N8" s="47">
        <f>1038.7*N3^-1.4378*$F$8*(0.0093*($K$8)^2-0.3453*($K$8)+5.9675)</f>
        <v>2.8775778734807269</v>
      </c>
      <c r="O8" s="78">
        <f>(2.65*L8*$F$8)^0.5</f>
        <v>1.0840744399276037</v>
      </c>
      <c r="P8" s="49" t="s">
        <v>23</v>
      </c>
      <c r="Q8" s="50">
        <f t="shared" si="0"/>
        <v>13.008893279131243</v>
      </c>
      <c r="R8" s="46" t="s">
        <v>24</v>
      </c>
      <c r="S8" s="51">
        <f>-0.097+0.662*(LOG(K8)+0.966*($C2/1000)-0.000526*F8+0.5588*($C2/1000)*LOG(K8)+0.00304*H8*LOG(K8))</f>
        <v>1.8042416728521482</v>
      </c>
      <c r="T8" s="51">
        <f>10^S8</f>
        <v>63.71499785941522</v>
      </c>
      <c r="U8" s="52">
        <f>-0.555+0+1.081*S8+0.0011*H8</f>
        <v>1.466335248353172</v>
      </c>
      <c r="V8" s="53">
        <f>10^U8</f>
        <v>29.264105132315279</v>
      </c>
      <c r="W8" s="54">
        <f t="shared" ref="W8:AC9" si="2">4.184*1.5*$V8*($F8/0.2)*((610^1.641)/((W$3*25.4)^1.641))</f>
        <v>178.84059729707124</v>
      </c>
      <c r="X8" s="54">
        <f t="shared" si="2"/>
        <v>91.939122751053546</v>
      </c>
      <c r="Y8" s="54">
        <f t="shared" si="2"/>
        <v>57.342403023339216</v>
      </c>
      <c r="Z8" s="54">
        <f t="shared" si="2"/>
        <v>39.76001663585857</v>
      </c>
      <c r="AA8" s="54">
        <f t="shared" si="2"/>
        <v>29.478822538519363</v>
      </c>
      <c r="AB8" s="54">
        <f t="shared" si="2"/>
        <v>22.890245517975849</v>
      </c>
      <c r="AC8" s="55">
        <f t="shared" si="2"/>
        <v>18.385932691944308</v>
      </c>
    </row>
    <row r="9" spans="1:29" ht="15.75" thickBot="1">
      <c r="A9" s="7" t="s">
        <v>31</v>
      </c>
      <c r="B9" s="56" t="s">
        <v>35</v>
      </c>
      <c r="C9" s="57">
        <v>200000</v>
      </c>
      <c r="D9" s="10" t="s">
        <v>33</v>
      </c>
      <c r="E9" s="39" t="s">
        <v>19</v>
      </c>
      <c r="F9" s="40">
        <v>0.02</v>
      </c>
      <c r="G9" s="39" t="s">
        <v>20</v>
      </c>
      <c r="H9" s="41">
        <v>64.5</v>
      </c>
      <c r="I9" s="58"/>
      <c r="J9" s="79" t="s">
        <v>27</v>
      </c>
      <c r="K9" s="80">
        <f>C7*0.85/1000</f>
        <v>44.1235</v>
      </c>
      <c r="L9" s="81">
        <f>L5*0.85</f>
        <v>11.086956521739129</v>
      </c>
      <c r="M9" s="82" t="s">
        <v>22</v>
      </c>
      <c r="N9" s="83">
        <f>(793*(K9)*(C3/1000)*$F$8)/((N$3)^2)</f>
        <v>0.51836941481481491</v>
      </c>
      <c r="O9" s="80">
        <f>(2.65*L9*$F$8)^0.5</f>
        <v>0.76655638778381718</v>
      </c>
      <c r="P9" s="84" t="s">
        <v>23</v>
      </c>
      <c r="Q9" s="85">
        <f t="shared" si="0"/>
        <v>9.1986766534058066</v>
      </c>
      <c r="R9" s="82" t="s">
        <v>24</v>
      </c>
      <c r="S9" s="86">
        <f>-0.097+0.662*(LOG(K9)+0.966*($C3/1000)-0.000526*F9+0.5588*($C3/1000)*LOG(K9)+0.00304*H9*LOG(K9))</f>
        <v>1.5047462681109862</v>
      </c>
      <c r="T9" s="86">
        <f>10^S9</f>
        <v>31.970267354048232</v>
      </c>
      <c r="U9" s="87">
        <f>-0.555+0+1.081*S9+0.0011*H9</f>
        <v>1.1425807158279759</v>
      </c>
      <c r="V9" s="88">
        <f>10^U9</f>
        <v>13.886113663997175</v>
      </c>
      <c r="W9" s="89">
        <f t="shared" si="2"/>
        <v>84.86167099850762</v>
      </c>
      <c r="X9" s="89">
        <f t="shared" si="2"/>
        <v>43.626042994204887</v>
      </c>
      <c r="Y9" s="89">
        <f t="shared" si="2"/>
        <v>27.209549806788367</v>
      </c>
      <c r="Z9" s="89">
        <f t="shared" si="2"/>
        <v>18.866529756902544</v>
      </c>
      <c r="AA9" s="89">
        <f t="shared" si="2"/>
        <v>13.987999243436818</v>
      </c>
      <c r="AB9" s="89">
        <f t="shared" si="2"/>
        <v>10.861652854999388</v>
      </c>
      <c r="AC9" s="90">
        <f t="shared" si="2"/>
        <v>8.7243108929721433</v>
      </c>
    </row>
  </sheetData>
  <mergeCells count="11">
    <mergeCell ref="V2:V3"/>
    <mergeCell ref="W2:AC2"/>
    <mergeCell ref="I4:I5"/>
    <mergeCell ref="K6:N7"/>
    <mergeCell ref="I8:I9"/>
    <mergeCell ref="K2:K3"/>
    <mergeCell ref="L2:M3"/>
    <mergeCell ref="O2:R3"/>
    <mergeCell ref="S2:S3"/>
    <mergeCell ref="T2:T3"/>
    <mergeCell ref="U2:U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Parker SSD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Larry Stutts</dc:creator>
  <cp:lastModifiedBy>Larry Stutts</cp:lastModifiedBy>
  <dcterms:created xsi:type="dcterms:W3CDTF">2013-07-01T14:33:33Z</dcterms:created>
  <dcterms:modified xsi:type="dcterms:W3CDTF">2013-07-01T14:58:36Z</dcterms:modified>
</cp:coreProperties>
</file>